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05" yWindow="-105" windowWidth="20640" windowHeight="11760" tabRatio="934" activeTab="1"/>
  </bookViews>
  <sheets>
    <sheet name="ССР Общ. тек" sheetId="18" r:id="rId1"/>
    <sheet name="ССР Общ. 2000" sheetId="21" r:id="rId2"/>
    <sheet name="Лист4" sheetId="13" r:id="rId3"/>
  </sheets>
  <definedNames>
    <definedName name="OLE_LINK1" localSheetId="0">'ССР Общ. тек'!$J$28</definedName>
    <definedName name="_xlnm.Print_Area" localSheetId="1">'ССР Общ. 2000'!$A$1:$H$50</definedName>
    <definedName name="_xlnm.Print_Area" localSheetId="0">'ССР Общ. тек'!$A$1:$H$50</definedName>
  </definedNames>
  <calcPr calcId="125725"/>
</workbook>
</file>

<file path=xl/calcChain.xml><?xml version="1.0" encoding="utf-8"?>
<calcChain xmlns="http://schemas.openxmlformats.org/spreadsheetml/2006/main">
  <c r="J36" i="18"/>
  <c r="G37"/>
  <c r="E18" i="21" l="1"/>
  <c r="D18"/>
  <c r="E18" i="18"/>
  <c r="D18"/>
  <c r="G37" i="21"/>
  <c r="B37"/>
  <c r="G27"/>
  <c r="G27" i="18"/>
  <c r="B27" i="21" l="1"/>
  <c r="C27"/>
  <c r="B26"/>
  <c r="C26"/>
  <c r="B18"/>
  <c r="C18"/>
  <c r="A18"/>
  <c r="D16"/>
  <c r="E16"/>
  <c r="F16"/>
  <c r="G16"/>
  <c r="A7"/>
  <c r="H27" l="1"/>
  <c r="F19" i="18"/>
  <c r="E16"/>
  <c r="F16"/>
  <c r="G16"/>
  <c r="D16"/>
  <c r="H37" i="21"/>
  <c r="F39"/>
  <c r="E39"/>
  <c r="D39"/>
  <c r="D34"/>
  <c r="F29"/>
  <c r="G23"/>
  <c r="F23"/>
  <c r="G19"/>
  <c r="G20" s="1"/>
  <c r="H15"/>
  <c r="F29" i="18"/>
  <c r="H37"/>
  <c r="G19"/>
  <c r="F19" i="21" l="1"/>
  <c r="F20" s="1"/>
  <c r="F24" s="1"/>
  <c r="F30" s="1"/>
  <c r="F35" s="1"/>
  <c r="F40" s="1"/>
  <c r="F42" s="1"/>
  <c r="F43" s="1"/>
  <c r="F45" s="1"/>
  <c r="H16"/>
  <c r="G24"/>
  <c r="E19"/>
  <c r="E20" s="1"/>
  <c r="E22" s="1"/>
  <c r="E23" s="1"/>
  <c r="E24" s="1"/>
  <c r="E26" s="1"/>
  <c r="E29" s="1"/>
  <c r="E30" s="1"/>
  <c r="E35" s="1"/>
  <c r="E40" s="1"/>
  <c r="E42" s="1"/>
  <c r="E43" s="1"/>
  <c r="E45" s="1"/>
  <c r="H18"/>
  <c r="D19"/>
  <c r="D19" i="18"/>
  <c r="E19"/>
  <c r="D20" i="21" l="1"/>
  <c r="H19"/>
  <c r="E39" i="18"/>
  <c r="F39"/>
  <c r="H27"/>
  <c r="H15"/>
  <c r="G20"/>
  <c r="D39"/>
  <c r="D34"/>
  <c r="G23"/>
  <c r="F23"/>
  <c r="G24" l="1"/>
  <c r="D22" i="21"/>
  <c r="H20"/>
  <c r="F20" i="18"/>
  <c r="F24" s="1"/>
  <c r="F30" s="1"/>
  <c r="F35" s="1"/>
  <c r="A26" l="1"/>
  <c r="A22" i="21"/>
  <c r="D23"/>
  <c r="H22"/>
  <c r="H16" i="18"/>
  <c r="F40"/>
  <c r="F42" s="1"/>
  <c r="F43" s="1"/>
  <c r="F45" s="1"/>
  <c r="F47" s="1"/>
  <c r="F46" s="1"/>
  <c r="A27" l="1"/>
  <c r="A32" s="1"/>
  <c r="A26" i="21"/>
  <c r="D24"/>
  <c r="H23"/>
  <c r="E20" i="18"/>
  <c r="E22" s="1"/>
  <c r="E23" s="1"/>
  <c r="E24" s="1"/>
  <c r="A32" i="21" l="1"/>
  <c r="A33" i="18"/>
  <c r="A27" i="21"/>
  <c r="E26" i="18"/>
  <c r="G28" i="21"/>
  <c r="H24"/>
  <c r="D26"/>
  <c r="H19" i="18"/>
  <c r="D20"/>
  <c r="H18"/>
  <c r="A33" i="21" l="1"/>
  <c r="A37" i="18"/>
  <c r="E29"/>
  <c r="E30" s="1"/>
  <c r="E35" s="1"/>
  <c r="E40" s="1"/>
  <c r="E42" s="1"/>
  <c r="E43" s="1"/>
  <c r="E45" s="1"/>
  <c r="E47" s="1"/>
  <c r="E46" s="1"/>
  <c r="H28" i="21"/>
  <c r="G29"/>
  <c r="G30" s="1"/>
  <c r="H26"/>
  <c r="D29"/>
  <c r="H20" i="18"/>
  <c r="D22"/>
  <c r="A38" l="1"/>
  <c r="A37" i="21"/>
  <c r="D30"/>
  <c r="H29"/>
  <c r="H22" i="18"/>
  <c r="D23"/>
  <c r="A42" l="1"/>
  <c r="A38" i="21"/>
  <c r="H30"/>
  <c r="D35"/>
  <c r="D24" i="18"/>
  <c r="D26" s="1"/>
  <c r="H26" s="1"/>
  <c r="H23"/>
  <c r="A45" l="1"/>
  <c r="A42" i="21"/>
  <c r="D29" i="18"/>
  <c r="D30" s="1"/>
  <c r="G33" i="21"/>
  <c r="H33" s="1"/>
  <c r="G38"/>
  <c r="D40"/>
  <c r="G28" i="18"/>
  <c r="G29" s="1"/>
  <c r="H24"/>
  <c r="A46" l="1"/>
  <c r="A47" s="1"/>
  <c r="A45" i="21"/>
  <c r="D42"/>
  <c r="D43" s="1"/>
  <c r="D45" s="1"/>
  <c r="G39"/>
  <c r="H38"/>
  <c r="H28" i="18"/>
  <c r="D35"/>
  <c r="H39" i="21" l="1"/>
  <c r="G32" s="1"/>
  <c r="H29" i="18"/>
  <c r="G30"/>
  <c r="H30" s="1"/>
  <c r="G38" s="1"/>
  <c r="H38" s="1"/>
  <c r="D40"/>
  <c r="G34" i="21" l="1"/>
  <c r="G35" s="1"/>
  <c r="H32"/>
  <c r="H34" s="1"/>
  <c r="G33" i="18"/>
  <c r="H33" s="1"/>
  <c r="D42"/>
  <c r="D43" s="1"/>
  <c r="D45" s="1"/>
  <c r="D47" s="1"/>
  <c r="D46" s="1"/>
  <c r="H35" i="21" l="1"/>
  <c r="G40"/>
  <c r="G39" i="18"/>
  <c r="H39" s="1"/>
  <c r="G32" s="1"/>
  <c r="G42" i="21" l="1"/>
  <c r="G43" s="1"/>
  <c r="G45" s="1"/>
  <c r="H40"/>
  <c r="H42" s="1"/>
  <c r="H43" s="1"/>
  <c r="H45" s="1"/>
  <c r="D3" s="1"/>
  <c r="H32" i="18"/>
  <c r="H34" s="1"/>
  <c r="G34"/>
  <c r="G35" s="1"/>
  <c r="H35" l="1"/>
  <c r="G40"/>
  <c r="H40" l="1"/>
  <c r="H42" s="1"/>
  <c r="H43" s="1"/>
  <c r="H45" s="1"/>
  <c r="H47" s="1"/>
  <c r="G42"/>
  <c r="G43" s="1"/>
  <c r="G45" s="1"/>
  <c r="G47" s="1"/>
  <c r="G46" s="1"/>
  <c r="D3" l="1"/>
  <c r="H46"/>
</calcChain>
</file>

<file path=xl/sharedStrings.xml><?xml version="1.0" encoding="utf-8"?>
<sst xmlns="http://schemas.openxmlformats.org/spreadsheetml/2006/main" count="166" uniqueCount="66">
  <si>
    <t xml:space="preserve"> </t>
  </si>
  <si>
    <t>1</t>
  </si>
  <si>
    <t/>
  </si>
  <si>
    <t>Проектные работы</t>
  </si>
  <si>
    <t>НДС 20%</t>
  </si>
  <si>
    <t xml:space="preserve">Сводный сметный расчет в сумме: </t>
  </si>
  <si>
    <t>тыс. руб.</t>
  </si>
  <si>
    <t xml:space="preserve">В том числе возвратных сумм: </t>
  </si>
  <si>
    <t>0,000</t>
  </si>
  <si>
    <t>(наименование стройки)</t>
  </si>
  <si>
    <t>№
п/п</t>
  </si>
  <si>
    <t>Номера смет и расчетов</t>
  </si>
  <si>
    <t>Наименование работ и затрат</t>
  </si>
  <si>
    <t>Сметная стоимость, тыс. руб.</t>
  </si>
  <si>
    <t>Общая сметная стоимость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</si>
  <si>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</si>
  <si>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</si>
  <si>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</si>
  <si>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</si>
  <si>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</si>
  <si>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</si>
  <si>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</si>
  <si>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ИТОГО ПО ГЛАВЕ 2</t>
  </si>
  <si>
    <t>ГЛАВА1-7</t>
  </si>
  <si>
    <t>Глава 8. Временные здания и сооружения</t>
  </si>
  <si>
    <t>Временные здания и сооружения 2,5*0,8=2%</t>
  </si>
  <si>
    <t>ИТОГО ПО ГЛАВЕ 8</t>
  </si>
  <si>
    <t>ИТОГО ПО ГЛАВАМ 1-8</t>
  </si>
  <si>
    <t>Глава 9. Прочие работы и затраты</t>
  </si>
  <si>
    <t>Затраты на премирование за ввод объекта в эксплуатацию 2,17%</t>
  </si>
  <si>
    <t>ИТОГО ПО ГЛАВЕ 9</t>
  </si>
  <si>
    <t>ИТОГО ПО ГЛАВАМ 1-9</t>
  </si>
  <si>
    <t>Глава 10. Содержание дирекции (технического надзора) строящегося предприятия</t>
  </si>
  <si>
    <t>'Приказ МРСК северо-запада №71 от 25.02.2020</t>
  </si>
  <si>
    <t>Содержание службы заказчика-застройщика (технического надзора) строительства 5,42 %</t>
  </si>
  <si>
    <t>письмо №468 от 21.06.10г</t>
  </si>
  <si>
    <t>Затраты на осуществление строительного контроля 2,14%</t>
  </si>
  <si>
    <t>ИТОГО ПО ГЛАВЕ 10</t>
  </si>
  <si>
    <t>ИТОГО ПО ГЛАВАМ 1-10</t>
  </si>
  <si>
    <t>Глава 12. Проектные и изыскательские работы, авторский надзор</t>
  </si>
  <si>
    <t>МДС 81-35.2004</t>
  </si>
  <si>
    <t>Авторский надзор 0,2%</t>
  </si>
  <si>
    <t>ИТОГО ПО ГЛАВЕ 12</t>
  </si>
  <si>
    <t>ИТОГО ПО ГЛАВАМ 1-12</t>
  </si>
  <si>
    <t>Прочие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</si>
  <si>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</si>
  <si>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</si>
  <si>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</si>
  <si>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</si>
  <si>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Составил</t>
  </si>
  <si>
    <t>ЛС 02-01-01</t>
  </si>
  <si>
    <t>ЛС 09-01-01</t>
  </si>
  <si>
    <t>Производство работ в зимнее время 1,9%*1,2</t>
  </si>
  <si>
    <t>Приказ № 332/пр от 19 июня 2020 года, п.39.2</t>
  </si>
  <si>
    <t>Приказ № 421/пр от 04.08. 2020 года, .п.179</t>
  </si>
  <si>
    <t>Приказ № 421/пр от 04.08. 2020 года, .п.180</t>
  </si>
  <si>
    <t xml:space="preserve"> Федеральный закан № 303-ФЗ от 03.08.2018  г </t>
  </si>
  <si>
    <t>Приказ № 421/пр от 04.08. 2020 года, .п.173</t>
  </si>
  <si>
    <t>Составлен в ценах по состоянию на 2000 г</t>
  </si>
  <si>
    <t>СВОДНЫЙ СМЕТНЫЙ РАСЧЕТ СТОИМОСТИ СТРОИТЕЛЬСТВА № 1</t>
  </si>
  <si>
    <t xml:space="preserve">ГСН-81-05-02-2007 т.4. п.2.6 </t>
  </si>
  <si>
    <t>Реконструкция ВЛ-0,4 кВ от ТП-120 с заменой участка неизолированного провода на СИП и опор в д. Вехручей Прионежского района, длина участка реконструкции 1,215 км для нужд Карельского филиала ПАО "МРСК Северо-Запада"</t>
  </si>
  <si>
    <t>Составлен в ценах по состоянию на 2 кв. 2021 года</t>
  </si>
  <si>
    <t>Строительство ВЛ-0,4кВ</t>
  </si>
  <si>
    <t>Пусконаладочные работы 0,4 кВ</t>
  </si>
  <si>
    <t xml:space="preserve"> 'ЛС 12-01-01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</si>
</sst>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00"/>
    <numFmt numFmtId="165" formatCode="0.000"/>
    <numFmt numFmtId="166" formatCode="_-* #,##0.00000_-;\-* #,##0.00000_-;_-* &quot;-&quot;??_-;_-@_-"/>
    <numFmt numFmtId="167" formatCode="0.00000"/>
    <numFmt numFmtId="168" formatCode="#,##0.00000"/>
  </numFmts>
  <fonts count="14">
    <font>
      <sz val="10"/>
      <name val="Arial Cyr"/>
      <charset val="204"/>
    </font>
    <font>
      <sz val="10"/>
      <name val="Arial Cyr"/>
      <charset val="204"/>
    </font>
    <font>
      <sz val="7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left" vertical="top"/>
    </xf>
    <xf numFmtId="0" fontId="3" fillId="0" borderId="0">
      <alignment horizontal="left" vertical="top"/>
    </xf>
    <xf numFmtId="0" fontId="4" fillId="0" borderId="3">
      <alignment horizontal="center" vertical="center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5" fillId="0" borderId="0">
      <alignment horizontal="left" vertical="top"/>
    </xf>
    <xf numFmtId="0" fontId="4" fillId="0" borderId="3">
      <alignment horizontal="center" vertical="top"/>
    </xf>
    <xf numFmtId="0" fontId="4" fillId="0" borderId="3">
      <alignment horizontal="left" vertical="top"/>
    </xf>
    <xf numFmtId="0" fontId="4" fillId="0" borderId="0">
      <alignment horizontal="right" vertical="center"/>
    </xf>
    <xf numFmtId="0" fontId="4" fillId="0" borderId="3">
      <alignment horizontal="right" vertical="center"/>
    </xf>
    <xf numFmtId="0" fontId="4" fillId="0" borderId="3">
      <alignment horizontal="right" vertical="top"/>
    </xf>
    <xf numFmtId="0" fontId="3" fillId="0" borderId="3">
      <alignment horizontal="left" vertical="top"/>
    </xf>
    <xf numFmtId="0" fontId="3" fillId="0" borderId="3">
      <alignment horizontal="center" vertical="top"/>
    </xf>
    <xf numFmtId="0" fontId="7" fillId="0" borderId="0">
      <alignment horizontal="right"/>
    </xf>
    <xf numFmtId="0" fontId="6" fillId="0" borderId="3">
      <alignment horizontal="left" vertical="center"/>
    </xf>
    <xf numFmtId="0" fontId="6" fillId="0" borderId="3">
      <alignment horizontal="center" vertical="center"/>
    </xf>
    <xf numFmtId="0" fontId="7" fillId="0" borderId="0">
      <alignment horizontal="center" vertical="top"/>
    </xf>
    <xf numFmtId="0" fontId="4" fillId="0" borderId="2">
      <alignment horizontal="center" vertical="center"/>
    </xf>
    <xf numFmtId="0" fontId="4" fillId="0" borderId="1">
      <alignment horizontal="center" vertical="center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4" fillId="0" borderId="0">
      <alignment horizontal="right"/>
    </xf>
    <xf numFmtId="0" fontId="3" fillId="0" borderId="5">
      <alignment horizontal="left" vertical="top"/>
    </xf>
    <xf numFmtId="0" fontId="4" fillId="0" borderId="0">
      <alignment horizontal="left"/>
    </xf>
  </cellStyleXfs>
  <cellXfs count="73">
    <xf numFmtId="0" fontId="0" fillId="0" borderId="0" xfId="0"/>
    <xf numFmtId="0" fontId="4" fillId="2" borderId="3" xfId="9" quotePrefix="1" applyFont="1" applyFill="1" applyBorder="1" applyAlignment="1">
      <alignment horizontal="center" vertical="center" wrapText="1"/>
    </xf>
    <xf numFmtId="0" fontId="4" fillId="2" borderId="3" xfId="10" quotePrefix="1" applyFont="1" applyFill="1" applyBorder="1" applyAlignment="1">
      <alignment horizontal="left" vertical="center" wrapText="1"/>
    </xf>
    <xf numFmtId="0" fontId="4" fillId="2" borderId="3" xfId="10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0" xfId="0" applyNumberFormat="1" applyFont="1" applyFill="1" applyAlignment="1">
      <alignment vertical="center" wrapText="1"/>
    </xf>
    <xf numFmtId="166" fontId="8" fillId="2" borderId="0" xfId="1" applyNumberFormat="1" applyFont="1" applyFill="1" applyAlignment="1">
      <alignment vertical="center" wrapText="1"/>
    </xf>
    <xf numFmtId="0" fontId="6" fillId="2" borderId="3" xfId="9" quotePrefix="1" applyFont="1" applyFill="1" applyBorder="1" applyAlignment="1">
      <alignment horizontal="center" vertical="center" wrapText="1"/>
    </xf>
    <xf numFmtId="0" fontId="6" fillId="2" borderId="3" xfId="10" quotePrefix="1" applyFont="1" applyFill="1" applyBorder="1" applyAlignment="1">
      <alignment horizontal="left" vertical="center" wrapText="1"/>
    </xf>
    <xf numFmtId="4" fontId="11" fillId="2" borderId="0" xfId="0" applyNumberFormat="1" applyFont="1" applyFill="1" applyAlignment="1">
      <alignment vertical="center" wrapText="1"/>
    </xf>
    <xf numFmtId="4" fontId="6" fillId="2" borderId="0" xfId="16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vertical="center" wrapText="1"/>
    </xf>
    <xf numFmtId="0" fontId="4" fillId="2" borderId="3" xfId="16" quotePrefix="1" applyFont="1" applyFill="1" applyBorder="1" applyAlignment="1">
      <alignment horizontal="right" vertical="center" wrapText="1"/>
    </xf>
    <xf numFmtId="1" fontId="4" fillId="2" borderId="3" xfId="12" quotePrefix="1" applyNumberFormat="1" applyFont="1" applyFill="1" applyBorder="1" applyAlignment="1">
      <alignment horizontal="center" vertical="center" wrapText="1"/>
    </xf>
    <xf numFmtId="1" fontId="4" fillId="2" borderId="3" xfId="11" applyNumberFormat="1" applyFont="1" applyFill="1" applyBorder="1" applyAlignment="1">
      <alignment horizontal="center" vertical="center" wrapText="1"/>
    </xf>
    <xf numFmtId="1" fontId="4" fillId="2" borderId="3" xfId="13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Alignment="1">
      <alignment vertical="center" wrapText="1"/>
    </xf>
    <xf numFmtId="4" fontId="4" fillId="2" borderId="3" xfId="16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4" fillId="2" borderId="0" xfId="9" quotePrefix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vertical="center" wrapText="1"/>
    </xf>
    <xf numFmtId="0" fontId="4" fillId="2" borderId="3" xfId="9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vertical="center" wrapText="1"/>
    </xf>
    <xf numFmtId="2" fontId="4" fillId="2" borderId="3" xfId="11" applyNumberFormat="1" applyFont="1" applyFill="1" applyBorder="1" applyAlignment="1">
      <alignment horizontal="center" vertical="center" wrapText="1"/>
    </xf>
    <xf numFmtId="2" fontId="4" fillId="2" borderId="3" xfId="13" applyNumberFormat="1" applyFont="1" applyFill="1" applyBorder="1" applyAlignment="1">
      <alignment horizontal="center" vertical="center" wrapText="1"/>
    </xf>
    <xf numFmtId="2" fontId="4" fillId="2" borderId="3" xfId="16" applyNumberFormat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 wrapText="1"/>
    </xf>
    <xf numFmtId="2" fontId="4" fillId="2" borderId="3" xfId="16" applyNumberFormat="1" applyFont="1" applyFill="1" applyBorder="1" applyAlignment="1">
      <alignment horizontal="right" vertical="center" wrapText="1"/>
    </xf>
    <xf numFmtId="2" fontId="6" fillId="2" borderId="3" xfId="16" applyNumberFormat="1" applyFont="1" applyFill="1" applyBorder="1" applyAlignment="1">
      <alignment horizontal="center" vertical="center" wrapText="1"/>
    </xf>
    <xf numFmtId="0" fontId="4" fillId="2" borderId="3" xfId="9" quotePrefix="1" applyFont="1" applyFill="1" applyBorder="1" applyAlignment="1">
      <alignment horizontal="left" vertical="center" wrapText="1"/>
    </xf>
    <xf numFmtId="4" fontId="4" fillId="2" borderId="3" xfId="16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vertical="center" wrapText="1"/>
    </xf>
    <xf numFmtId="43" fontId="8" fillId="2" borderId="0" xfId="1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165" fontId="4" fillId="2" borderId="3" xfId="11" quotePrefix="1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2" fontId="4" fillId="2" borderId="3" xfId="11" quotePrefix="1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167" fontId="8" fillId="2" borderId="0" xfId="0" applyNumberFormat="1" applyFont="1" applyFill="1" applyAlignment="1">
      <alignment vertical="center" wrapText="1"/>
    </xf>
    <xf numFmtId="0" fontId="12" fillId="2" borderId="0" xfId="0" applyFont="1" applyFill="1"/>
    <xf numFmtId="2" fontId="8" fillId="2" borderId="0" xfId="0" applyNumberFormat="1" applyFont="1" applyFill="1" applyAlignment="1">
      <alignment vertical="center" wrapText="1"/>
    </xf>
    <xf numFmtId="0" fontId="5" fillId="2" borderId="0" xfId="2" quotePrefix="1" applyFont="1" applyFill="1" applyAlignment="1">
      <alignment horizontal="left" vertical="center" wrapText="1"/>
    </xf>
    <xf numFmtId="165" fontId="5" fillId="2" borderId="0" xfId="3" quotePrefix="1" applyNumberFormat="1" applyFont="1" applyFill="1" applyAlignment="1">
      <alignment horizontal="center" vertical="center" wrapText="1"/>
    </xf>
    <xf numFmtId="165" fontId="3" fillId="2" borderId="0" xfId="6" quotePrefix="1" applyNumberFormat="1" applyFont="1" applyFill="1" applyAlignment="1">
      <alignment horizontal="center" vertical="center" wrapText="1"/>
    </xf>
    <xf numFmtId="0" fontId="6" fillId="2" borderId="3" xfId="15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7" quotePrefix="1" applyFont="1" applyFill="1" applyAlignment="1">
      <alignment horizontal="center" vertical="center" wrapText="1"/>
    </xf>
    <xf numFmtId="14" fontId="10" fillId="2" borderId="5" xfId="8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vertical="center" wrapText="1"/>
    </xf>
    <xf numFmtId="0" fontId="4" fillId="2" borderId="4" xfId="9" quotePrefix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4" fillId="2" borderId="5" xfId="10" quotePrefix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4" fillId="2" borderId="3" xfId="12" quotePrefix="1" applyFont="1" applyFill="1" applyBorder="1" applyAlignment="1">
      <alignment horizontal="center" vertical="center" wrapText="1"/>
    </xf>
    <xf numFmtId="0" fontId="4" fillId="2" borderId="3" xfId="11" quotePrefix="1" applyFont="1" applyFill="1" applyBorder="1" applyAlignment="1">
      <alignment horizontal="center" vertical="center" wrapText="1"/>
    </xf>
    <xf numFmtId="165" fontId="4" fillId="2" borderId="3" xfId="11" quotePrefix="1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4" fillId="2" borderId="3" xfId="13" quotePrefix="1" applyNumberFormat="1" applyFont="1" applyFill="1" applyBorder="1" applyAlignment="1">
      <alignment horizontal="center" vertical="center" wrapText="1"/>
    </xf>
    <xf numFmtId="0" fontId="3" fillId="2" borderId="3" xfId="17" quotePrefix="1" applyFont="1" applyFill="1" applyBorder="1" applyAlignment="1">
      <alignment horizontal="left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2" fontId="5" fillId="2" borderId="0" xfId="3" quotePrefix="1" applyNumberFormat="1" applyFont="1" applyFill="1" applyAlignment="1">
      <alignment horizontal="center" vertical="center" wrapText="1"/>
    </xf>
    <xf numFmtId="2" fontId="3" fillId="2" borderId="0" xfId="6" quotePrefix="1" applyNumberFormat="1" applyFont="1" applyFill="1" applyAlignment="1">
      <alignment horizontal="center" vertical="center" wrapText="1"/>
    </xf>
    <xf numFmtId="2" fontId="4" fillId="2" borderId="3" xfId="11" quotePrefix="1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4" fillId="2" borderId="3" xfId="13" quotePrefix="1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/>
    </xf>
    <xf numFmtId="168" fontId="13" fillId="2" borderId="2" xfId="0" applyNumberFormat="1" applyFont="1" applyFill="1" applyBorder="1" applyAlignment="1">
      <alignment horizontal="center" vertical="center"/>
    </xf>
  </cellXfs>
  <cellStyles count="26">
    <cellStyle name="S0" xfId="5"/>
    <cellStyle name="S1" xfId="4"/>
    <cellStyle name="S10" xfId="12"/>
    <cellStyle name="S11" xfId="13"/>
    <cellStyle name="S12" xfId="15"/>
    <cellStyle name="S13" xfId="16"/>
    <cellStyle name="S14" xfId="17"/>
    <cellStyle name="S15" xfId="14"/>
    <cellStyle name="S16" xfId="18"/>
    <cellStyle name="S17" xfId="19"/>
    <cellStyle name="S18" xfId="20"/>
    <cellStyle name="S19" xfId="21"/>
    <cellStyle name="S2" xfId="2"/>
    <cellStyle name="S20" xfId="22"/>
    <cellStyle name="S21" xfId="23"/>
    <cellStyle name="S22" xfId="24"/>
    <cellStyle name="S23" xfId="25"/>
    <cellStyle name="S3" xfId="3"/>
    <cellStyle name="S4" xfId="6"/>
    <cellStyle name="S5" xfId="7"/>
    <cellStyle name="S6" xfId="8"/>
    <cellStyle name="S7" xfId="9"/>
    <cellStyle name="S8" xfId="10"/>
    <cellStyle name="S9" xfId="11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3:K49"/>
  <sheetViews>
    <sheetView view="pageBreakPreview" topLeftCell="A25" zoomScaleNormal="100" zoomScaleSheetLayoutView="100" workbookViewId="0">
      <selection activeCell="G27" sqref="G27"/>
    </sheetView>
  </sheetViews>
  <sheetFormatPr defaultRowHeight="14.25"/>
  <cols>
    <col min="1" max="1" width="9.140625" style="35"/>
    <col min="2" max="2" width="20.140625" style="35" customWidth="1"/>
    <col min="3" max="3" width="39.7109375" style="35" customWidth="1"/>
    <col min="4" max="8" width="12.5703125" style="38" customWidth="1"/>
    <col min="9" max="9" width="9.140625" style="35"/>
    <col min="10" max="10" width="12" style="35" bestFit="1" customWidth="1"/>
    <col min="11" max="11" width="18.140625" style="35" customWidth="1"/>
    <col min="12" max="16384" width="9.140625" style="35"/>
  </cols>
  <sheetData>
    <row r="3" spans="1:8">
      <c r="A3" s="45" t="s">
        <v>5</v>
      </c>
      <c r="B3" s="45"/>
      <c r="C3" s="45"/>
      <c r="D3" s="46">
        <f>H47</f>
        <v>2058.8478100525431</v>
      </c>
      <c r="E3" s="46"/>
      <c r="F3" s="46"/>
      <c r="G3" s="47" t="s">
        <v>6</v>
      </c>
      <c r="H3" s="47"/>
    </row>
    <row r="4" spans="1:8">
      <c r="A4" s="45" t="s">
        <v>7</v>
      </c>
      <c r="B4" s="45"/>
      <c r="C4" s="45"/>
      <c r="D4" s="46" t="s">
        <v>8</v>
      </c>
      <c r="E4" s="46"/>
      <c r="F4" s="46"/>
      <c r="G4" s="47" t="s">
        <v>6</v>
      </c>
      <c r="H4" s="47"/>
    </row>
    <row r="5" spans="1:8">
      <c r="A5" s="45"/>
      <c r="B5" s="50"/>
      <c r="C5" s="50"/>
      <c r="D5" s="50"/>
      <c r="E5" s="50"/>
      <c r="F5" s="50"/>
      <c r="G5" s="50"/>
      <c r="H5" s="50"/>
    </row>
    <row r="6" spans="1:8" ht="33.75" customHeight="1">
      <c r="A6" s="51" t="s">
        <v>59</v>
      </c>
      <c r="B6" s="50"/>
      <c r="C6" s="50"/>
      <c r="D6" s="50"/>
      <c r="E6" s="50"/>
      <c r="F6" s="50"/>
      <c r="G6" s="50"/>
      <c r="H6" s="50"/>
    </row>
    <row r="7" spans="1:8" ht="54" customHeight="1">
      <c r="A7" s="52" t="s">
        <v>61</v>
      </c>
      <c r="B7" s="53"/>
      <c r="C7" s="53"/>
      <c r="D7" s="53"/>
      <c r="E7" s="53"/>
      <c r="F7" s="53"/>
      <c r="G7" s="53"/>
      <c r="H7" s="53"/>
    </row>
    <row r="8" spans="1:8">
      <c r="A8" s="54" t="s">
        <v>9</v>
      </c>
      <c r="B8" s="55"/>
      <c r="C8" s="55"/>
      <c r="D8" s="55"/>
      <c r="E8" s="55"/>
      <c r="F8" s="55"/>
      <c r="G8" s="55"/>
      <c r="H8" s="55"/>
    </row>
    <row r="9" spans="1:8" ht="14.25" customHeight="1">
      <c r="A9" s="20"/>
      <c r="B9" s="21"/>
      <c r="C9" s="21"/>
      <c r="D9" s="22"/>
      <c r="E9" s="22"/>
      <c r="F9" s="22"/>
      <c r="G9" s="22"/>
      <c r="H9" s="22"/>
    </row>
    <row r="10" spans="1:8">
      <c r="A10" s="56" t="s">
        <v>62</v>
      </c>
      <c r="B10" s="57"/>
      <c r="C10" s="57"/>
      <c r="D10" s="57"/>
      <c r="E10" s="57"/>
      <c r="F10" s="57"/>
      <c r="G10" s="57"/>
      <c r="H10" s="57"/>
    </row>
    <row r="11" spans="1:8">
      <c r="A11" s="58" t="s">
        <v>10</v>
      </c>
      <c r="B11" s="59" t="s">
        <v>11</v>
      </c>
      <c r="C11" s="59" t="s">
        <v>12</v>
      </c>
      <c r="D11" s="60" t="s">
        <v>13</v>
      </c>
      <c r="E11" s="61"/>
      <c r="F11" s="61"/>
      <c r="G11" s="61"/>
      <c r="H11" s="62" t="s">
        <v>14</v>
      </c>
    </row>
    <row r="12" spans="1:8" ht="33.75">
      <c r="A12" s="49"/>
      <c r="B12" s="49"/>
      <c r="C12" s="49"/>
      <c r="D12" s="37" t="s">
        <v>15</v>
      </c>
      <c r="E12" s="37" t="s">
        <v>16</v>
      </c>
      <c r="F12" s="37" t="s">
        <v>17</v>
      </c>
      <c r="G12" s="37" t="s">
        <v>18</v>
      </c>
      <c r="H12" s="61"/>
    </row>
    <row r="13" spans="1:8" s="16" customFormat="1" ht="15" customHeight="1">
      <c r="A13" s="13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5">
        <v>8</v>
      </c>
    </row>
    <row r="14" spans="1:8">
      <c r="A14" s="48" t="s">
        <v>19</v>
      </c>
      <c r="B14" s="49"/>
      <c r="C14" s="49"/>
      <c r="D14" s="49"/>
      <c r="E14" s="49"/>
      <c r="F14" s="49"/>
      <c r="G14" s="49"/>
      <c r="H14" s="49"/>
    </row>
    <row r="15" spans="1:8" ht="20.25" customHeight="1">
      <c r="A15" s="1" t="s">
        <v>1</v>
      </c>
      <c r="B15" s="3"/>
      <c r="C15" s="2"/>
      <c r="D15" s="27">
        <v>0</v>
      </c>
      <c r="E15" s="27"/>
      <c r="F15" s="27"/>
      <c r="G15" s="27"/>
      <c r="H15" s="27">
        <f>D15+E15+F15+G15</f>
        <v>0</v>
      </c>
    </row>
    <row r="16" spans="1:8" ht="20.25" customHeight="1">
      <c r="A16" s="1" t="s">
        <v>2</v>
      </c>
      <c r="B16" s="2" t="s">
        <v>2</v>
      </c>
      <c r="C16" s="2" t="s">
        <v>20</v>
      </c>
      <c r="D16" s="27">
        <f>D15</f>
        <v>0</v>
      </c>
      <c r="E16" s="27">
        <f t="shared" ref="E16:G16" si="0">E15</f>
        <v>0</v>
      </c>
      <c r="F16" s="27">
        <f t="shared" si="0"/>
        <v>0</v>
      </c>
      <c r="G16" s="27">
        <f t="shared" si="0"/>
        <v>0</v>
      </c>
      <c r="H16" s="27">
        <f t="shared" ref="H16" si="1">D16+E16+F16+G16</f>
        <v>0</v>
      </c>
    </row>
    <row r="17" spans="1:11" ht="20.25" customHeight="1">
      <c r="A17" s="48" t="s">
        <v>21</v>
      </c>
      <c r="B17" s="49"/>
      <c r="C17" s="49"/>
      <c r="D17" s="49"/>
      <c r="E17" s="49"/>
      <c r="F17" s="49"/>
      <c r="G17" s="49"/>
      <c r="H17" s="49"/>
      <c r="K17" s="42"/>
    </row>
    <row r="18" spans="1:11" ht="20.25" customHeight="1">
      <c r="A18" s="1">
        <v>2</v>
      </c>
      <c r="B18" s="3" t="s">
        <v>50</v>
      </c>
      <c r="C18" s="3" t="s">
        <v>63</v>
      </c>
      <c r="D18" s="28">
        <f>1364.42</f>
        <v>1364.42</v>
      </c>
      <c r="E18" s="28">
        <f>42.2</f>
        <v>42.2</v>
      </c>
      <c r="F18" s="28"/>
      <c r="G18" s="28"/>
      <c r="H18" s="27">
        <f t="shared" ref="H18:H20" si="2">D18+E18+F18+G18</f>
        <v>1406.6200000000001</v>
      </c>
      <c r="I18" s="4"/>
      <c r="J18" s="44"/>
    </row>
    <row r="19" spans="1:11" ht="20.25" customHeight="1">
      <c r="A19" s="1" t="s">
        <v>2</v>
      </c>
      <c r="B19" s="2" t="s">
        <v>2</v>
      </c>
      <c r="C19" s="2" t="s">
        <v>22</v>
      </c>
      <c r="D19" s="28">
        <f>SUM(D18:D18)</f>
        <v>1364.42</v>
      </c>
      <c r="E19" s="28">
        <f>SUM(E18:E18)</f>
        <v>42.2</v>
      </c>
      <c r="F19" s="28">
        <f>SUM(F18:F18)</f>
        <v>0</v>
      </c>
      <c r="G19" s="28">
        <f>SUM(G18:G18)</f>
        <v>0</v>
      </c>
      <c r="H19" s="27">
        <f t="shared" si="2"/>
        <v>1406.6200000000001</v>
      </c>
    </row>
    <row r="20" spans="1:11" ht="20.25" customHeight="1">
      <c r="A20" s="1" t="s">
        <v>2</v>
      </c>
      <c r="B20" s="2" t="s">
        <v>2</v>
      </c>
      <c r="C20" s="2" t="s">
        <v>23</v>
      </c>
      <c r="D20" s="28">
        <f>D19+D16</f>
        <v>1364.42</v>
      </c>
      <c r="E20" s="28">
        <f>E19+E16</f>
        <v>42.2</v>
      </c>
      <c r="F20" s="28">
        <f>F19+F16</f>
        <v>0</v>
      </c>
      <c r="G20" s="28">
        <f>G19+G16</f>
        <v>0</v>
      </c>
      <c r="H20" s="27">
        <f t="shared" si="2"/>
        <v>1406.6200000000001</v>
      </c>
    </row>
    <row r="21" spans="1:11" ht="20.25" customHeight="1">
      <c r="A21" s="48" t="s">
        <v>24</v>
      </c>
      <c r="B21" s="49"/>
      <c r="C21" s="49"/>
      <c r="D21" s="49"/>
      <c r="E21" s="49"/>
      <c r="F21" s="49"/>
      <c r="G21" s="49"/>
      <c r="H21" s="49"/>
    </row>
    <row r="22" spans="1:11" ht="30" customHeight="1">
      <c r="A22" s="1">
        <v>3</v>
      </c>
      <c r="B22" s="3" t="s">
        <v>53</v>
      </c>
      <c r="C22" s="2" t="s">
        <v>25</v>
      </c>
      <c r="D22" s="27">
        <f>D20*0.02</f>
        <v>27.288400000000003</v>
      </c>
      <c r="E22" s="27">
        <f>E20*0.02</f>
        <v>0.84400000000000008</v>
      </c>
      <c r="F22" s="27"/>
      <c r="G22" s="27"/>
      <c r="H22" s="27">
        <f t="shared" ref="H22:H24" si="3">D22+E22+F22+G22</f>
        <v>28.132400000000004</v>
      </c>
    </row>
    <row r="23" spans="1:11" ht="20.25" customHeight="1">
      <c r="A23" s="1" t="s">
        <v>2</v>
      </c>
      <c r="B23" s="2" t="s">
        <v>2</v>
      </c>
      <c r="C23" s="2" t="s">
        <v>26</v>
      </c>
      <c r="D23" s="27">
        <f>D22</f>
        <v>27.288400000000003</v>
      </c>
      <c r="E23" s="27">
        <f>E22</f>
        <v>0.84400000000000008</v>
      </c>
      <c r="F23" s="27">
        <f>F22</f>
        <v>0</v>
      </c>
      <c r="G23" s="27">
        <f>G22</f>
        <v>0</v>
      </c>
      <c r="H23" s="27">
        <f t="shared" si="3"/>
        <v>28.132400000000004</v>
      </c>
    </row>
    <row r="24" spans="1:11" ht="20.25" customHeight="1">
      <c r="A24" s="1" t="s">
        <v>2</v>
      </c>
      <c r="B24" s="2" t="s">
        <v>2</v>
      </c>
      <c r="C24" s="2" t="s">
        <v>27</v>
      </c>
      <c r="D24" s="27">
        <f>D23+D20</f>
        <v>1391.7084</v>
      </c>
      <c r="E24" s="27">
        <f>E23+E20</f>
        <v>43.044000000000004</v>
      </c>
      <c r="F24" s="27">
        <f>F23+F20</f>
        <v>0</v>
      </c>
      <c r="G24" s="27">
        <f>G23+G20</f>
        <v>0</v>
      </c>
      <c r="H24" s="27">
        <f t="shared" si="3"/>
        <v>1434.7524000000001</v>
      </c>
    </row>
    <row r="25" spans="1:11" ht="20.25" customHeight="1">
      <c r="A25" s="48" t="s">
        <v>28</v>
      </c>
      <c r="B25" s="49"/>
      <c r="C25" s="49"/>
      <c r="D25" s="49"/>
      <c r="E25" s="49"/>
      <c r="F25" s="49"/>
      <c r="G25" s="49"/>
      <c r="H25" s="49"/>
    </row>
    <row r="26" spans="1:11" ht="39.75" customHeight="1">
      <c r="A26" s="1">
        <f>A22+1</f>
        <v>4</v>
      </c>
      <c r="B26" s="2" t="s">
        <v>60</v>
      </c>
      <c r="C26" s="2" t="s">
        <v>52</v>
      </c>
      <c r="D26" s="32">
        <f>1.2*1.9%*D24</f>
        <v>31.730951519999994</v>
      </c>
      <c r="E26" s="32">
        <f>1.2*1.9%*E24</f>
        <v>0.98140320000000003</v>
      </c>
      <c r="F26" s="33"/>
      <c r="G26" s="33"/>
      <c r="H26" s="17">
        <f t="shared" ref="H26:H30" si="4">SUM(D26:G26)</f>
        <v>32.712354719999993</v>
      </c>
      <c r="J26" s="34"/>
      <c r="K26" s="34"/>
    </row>
    <row r="27" spans="1:11" ht="20.25" customHeight="1">
      <c r="A27" s="1">
        <f>A26+1</f>
        <v>5</v>
      </c>
      <c r="B27" s="2" t="s">
        <v>51</v>
      </c>
      <c r="C27" s="3" t="s">
        <v>64</v>
      </c>
      <c r="D27" s="17"/>
      <c r="E27" s="17"/>
      <c r="F27" s="17"/>
      <c r="G27" s="17">
        <f>34649.89/1000</f>
        <v>34.649889999999999</v>
      </c>
      <c r="H27" s="17">
        <f t="shared" si="4"/>
        <v>34.649889999999999</v>
      </c>
    </row>
    <row r="28" spans="1:11" ht="27" customHeight="1">
      <c r="A28" s="23" t="s">
        <v>0</v>
      </c>
      <c r="B28" s="3" t="s">
        <v>0</v>
      </c>
      <c r="C28" s="2" t="s">
        <v>29</v>
      </c>
      <c r="D28" s="17"/>
      <c r="E28" s="17"/>
      <c r="F28" s="17"/>
      <c r="G28" s="17">
        <f>(D24+E24)*0.0217</f>
        <v>31.134127080000003</v>
      </c>
      <c r="H28" s="17">
        <f t="shared" si="4"/>
        <v>31.134127080000003</v>
      </c>
      <c r="J28" s="43"/>
    </row>
    <row r="29" spans="1:11" ht="20.25" customHeight="1">
      <c r="A29" s="1"/>
      <c r="B29" s="2" t="s">
        <v>2</v>
      </c>
      <c r="C29" s="2" t="s">
        <v>30</v>
      </c>
      <c r="D29" s="17">
        <f>SUM(D26:D28)</f>
        <v>31.730951519999994</v>
      </c>
      <c r="E29" s="17">
        <f>SUM(E26:E28)</f>
        <v>0.98140320000000003</v>
      </c>
      <c r="F29" s="17">
        <f>SUM(F26:F28)</f>
        <v>0</v>
      </c>
      <c r="G29" s="17">
        <f>SUM(G26:G28)</f>
        <v>65.784017079999998</v>
      </c>
      <c r="H29" s="17">
        <f t="shared" si="4"/>
        <v>98.496371799999991</v>
      </c>
    </row>
    <row r="30" spans="1:11" ht="20.25" customHeight="1">
      <c r="A30" s="1"/>
      <c r="B30" s="2" t="s">
        <v>2</v>
      </c>
      <c r="C30" s="2" t="s">
        <v>31</v>
      </c>
      <c r="D30" s="17">
        <f>D29+D24</f>
        <v>1423.4393515199999</v>
      </c>
      <c r="E30" s="17">
        <f>E29+E24</f>
        <v>44.025403200000007</v>
      </c>
      <c r="F30" s="17">
        <f>F29+F24</f>
        <v>0</v>
      </c>
      <c r="G30" s="17">
        <f>G29+G24</f>
        <v>65.784017079999998</v>
      </c>
      <c r="H30" s="17">
        <f t="shared" si="4"/>
        <v>1533.2487718</v>
      </c>
    </row>
    <row r="31" spans="1:11" ht="20.25" customHeight="1">
      <c r="A31" s="48" t="s">
        <v>32</v>
      </c>
      <c r="B31" s="49"/>
      <c r="C31" s="49"/>
      <c r="D31" s="49"/>
      <c r="E31" s="49"/>
      <c r="F31" s="49"/>
      <c r="G31" s="49"/>
      <c r="H31" s="49"/>
    </row>
    <row r="32" spans="1:11" ht="34.5" customHeight="1">
      <c r="A32" s="1">
        <f>A27+1</f>
        <v>6</v>
      </c>
      <c r="B32" s="2" t="s">
        <v>33</v>
      </c>
      <c r="C32" s="2" t="s">
        <v>34</v>
      </c>
      <c r="D32" s="27"/>
      <c r="E32" s="27"/>
      <c r="F32" s="27"/>
      <c r="G32" s="27">
        <f>(H30+H39)*0.0542</f>
        <v>83.954111092423119</v>
      </c>
      <c r="H32" s="27">
        <f>SUM(D32:G32)</f>
        <v>83.954111092423119</v>
      </c>
    </row>
    <row r="33" spans="1:11" ht="25.5" customHeight="1">
      <c r="A33" s="1">
        <f>A32+1</f>
        <v>7</v>
      </c>
      <c r="B33" s="2" t="s">
        <v>35</v>
      </c>
      <c r="C33" s="2" t="s">
        <v>36</v>
      </c>
      <c r="D33" s="27"/>
      <c r="E33" s="27"/>
      <c r="F33" s="27"/>
      <c r="G33" s="27">
        <f>H30*0.0214</f>
        <v>32.81152371652</v>
      </c>
      <c r="H33" s="27">
        <f>SUM(D33:G33)</f>
        <v>32.81152371652</v>
      </c>
    </row>
    <row r="34" spans="1:11" ht="20.25" customHeight="1">
      <c r="A34" s="1" t="s">
        <v>2</v>
      </c>
      <c r="B34" s="2" t="s">
        <v>2</v>
      </c>
      <c r="C34" s="2" t="s">
        <v>37</v>
      </c>
      <c r="D34" s="27">
        <f>SUM(D32:D33)</f>
        <v>0</v>
      </c>
      <c r="E34" s="27">
        <v>0</v>
      </c>
      <c r="F34" s="27">
        <v>0</v>
      </c>
      <c r="G34" s="27">
        <f>SUM(G32:G33)</f>
        <v>116.76563480894312</v>
      </c>
      <c r="H34" s="27">
        <f>SUM(H32:H33)</f>
        <v>116.76563480894312</v>
      </c>
    </row>
    <row r="35" spans="1:11" ht="20.25" customHeight="1">
      <c r="A35" s="1" t="s">
        <v>2</v>
      </c>
      <c r="B35" s="2" t="s">
        <v>2</v>
      </c>
      <c r="C35" s="2" t="s">
        <v>38</v>
      </c>
      <c r="D35" s="27">
        <f>D34+D30</f>
        <v>1423.4393515199999</v>
      </c>
      <c r="E35" s="27">
        <f>E34+E30</f>
        <v>44.025403200000007</v>
      </c>
      <c r="F35" s="27">
        <f>F34+F30</f>
        <v>0</v>
      </c>
      <c r="G35" s="27">
        <f>G34+G30</f>
        <v>182.54965188894312</v>
      </c>
      <c r="H35" s="27">
        <f>SUM(D35:G35)</f>
        <v>1650.0144066089431</v>
      </c>
    </row>
    <row r="36" spans="1:11" ht="20.25" customHeight="1">
      <c r="A36" s="48" t="s">
        <v>39</v>
      </c>
      <c r="B36" s="49"/>
      <c r="C36" s="49"/>
      <c r="D36" s="49"/>
      <c r="E36" s="49"/>
      <c r="F36" s="49"/>
      <c r="G36" s="49"/>
      <c r="H36" s="49"/>
      <c r="J36" s="71">
        <f>H18+H27+H37</f>
        <v>1453.92346</v>
      </c>
      <c r="K36" s="72"/>
    </row>
    <row r="37" spans="1:11" ht="20.25" customHeight="1">
      <c r="A37" s="1">
        <f>A33+1</f>
        <v>8</v>
      </c>
      <c r="B37" s="3" t="s">
        <v>65</v>
      </c>
      <c r="C37" s="2" t="s">
        <v>3</v>
      </c>
      <c r="D37" s="27"/>
      <c r="E37" s="27"/>
      <c r="F37" s="27"/>
      <c r="G37" s="27">
        <f>12.65357</f>
        <v>12.65357</v>
      </c>
      <c r="H37" s="27">
        <f>SUM(D37:G37)</f>
        <v>12.65357</v>
      </c>
    </row>
    <row r="38" spans="1:11" ht="28.5" customHeight="1">
      <c r="A38" s="1">
        <f>A37+1</f>
        <v>9</v>
      </c>
      <c r="B38" s="3" t="s">
        <v>57</v>
      </c>
      <c r="C38" s="2" t="s">
        <v>41</v>
      </c>
      <c r="D38" s="27"/>
      <c r="E38" s="27"/>
      <c r="F38" s="27"/>
      <c r="G38" s="27">
        <f>H30*0.002</f>
        <v>3.0664975436000002</v>
      </c>
      <c r="H38" s="27">
        <f>SUM(D38:G38)</f>
        <v>3.0664975436000002</v>
      </c>
    </row>
    <row r="39" spans="1:11" ht="20.25" customHeight="1">
      <c r="A39" s="1" t="s">
        <v>2</v>
      </c>
      <c r="B39" s="2" t="s">
        <v>2</v>
      </c>
      <c r="C39" s="2" t="s">
        <v>42</v>
      </c>
      <c r="D39" s="27">
        <f>SUM(D37:D38)</f>
        <v>0</v>
      </c>
      <c r="E39" s="27">
        <f t="shared" ref="E39:G39" si="5">SUM(E37:E38)</f>
        <v>0</v>
      </c>
      <c r="F39" s="27">
        <f t="shared" si="5"/>
        <v>0</v>
      </c>
      <c r="G39" s="27">
        <f t="shared" si="5"/>
        <v>15.720067543600001</v>
      </c>
      <c r="H39" s="27">
        <f t="shared" ref="H39:H40" si="6">SUM(D39:G39)</f>
        <v>15.720067543600001</v>
      </c>
    </row>
    <row r="40" spans="1:11" s="11" customFormat="1" ht="20.25" customHeight="1">
      <c r="A40" s="7" t="s">
        <v>2</v>
      </c>
      <c r="B40" s="8" t="s">
        <v>2</v>
      </c>
      <c r="C40" s="8" t="s">
        <v>43</v>
      </c>
      <c r="D40" s="30">
        <f>D39+D35</f>
        <v>1423.4393515199999</v>
      </c>
      <c r="E40" s="30">
        <f t="shared" ref="E40:G40" si="7">E39+E35</f>
        <v>44.025403200000007</v>
      </c>
      <c r="F40" s="30">
        <f t="shared" si="7"/>
        <v>0</v>
      </c>
      <c r="G40" s="30">
        <f t="shared" si="7"/>
        <v>198.26971943254313</v>
      </c>
      <c r="H40" s="27">
        <f t="shared" si="6"/>
        <v>1665.734474152543</v>
      </c>
      <c r="I40" s="9"/>
    </row>
    <row r="41" spans="1:11" ht="20.25" customHeight="1">
      <c r="A41" s="48" t="s">
        <v>44</v>
      </c>
      <c r="B41" s="49"/>
      <c r="C41" s="49"/>
      <c r="D41" s="49"/>
      <c r="E41" s="49"/>
      <c r="F41" s="49"/>
      <c r="G41" s="49"/>
      <c r="H41" s="49"/>
    </row>
    <row r="42" spans="1:11" ht="24" customHeight="1">
      <c r="A42" s="1">
        <f>A38+1</f>
        <v>10</v>
      </c>
      <c r="B42" s="3" t="s">
        <v>54</v>
      </c>
      <c r="C42" s="2" t="s">
        <v>45</v>
      </c>
      <c r="D42" s="27">
        <f>D40*0.03</f>
        <v>42.703180545599999</v>
      </c>
      <c r="E42" s="27">
        <f>E40*0.03</f>
        <v>1.3207620960000002</v>
      </c>
      <c r="F42" s="27">
        <f>F40*0.03</f>
        <v>0</v>
      </c>
      <c r="G42" s="27">
        <f>G40*0.03</f>
        <v>5.9480915829762937</v>
      </c>
      <c r="H42" s="27">
        <f>H40*0.03</f>
        <v>49.972034224576291</v>
      </c>
    </row>
    <row r="43" spans="1:11" ht="20.25" customHeight="1">
      <c r="A43" s="1" t="s">
        <v>2</v>
      </c>
      <c r="B43" s="2" t="s">
        <v>2</v>
      </c>
      <c r="C43" s="2" t="s">
        <v>46</v>
      </c>
      <c r="D43" s="27">
        <f>D42</f>
        <v>42.703180545599999</v>
      </c>
      <c r="E43" s="27">
        <f>E42</f>
        <v>1.3207620960000002</v>
      </c>
      <c r="F43" s="27">
        <f>F42</f>
        <v>0</v>
      </c>
      <c r="G43" s="27">
        <f>G42</f>
        <v>5.9480915829762937</v>
      </c>
      <c r="H43" s="27">
        <f>H42</f>
        <v>49.972034224576291</v>
      </c>
    </row>
    <row r="44" spans="1:11" ht="20.25" customHeight="1">
      <c r="A44" s="63" t="s">
        <v>2</v>
      </c>
      <c r="B44" s="49"/>
      <c r="C44" s="49"/>
      <c r="D44" s="49"/>
      <c r="E44" s="49"/>
      <c r="F44" s="49"/>
      <c r="G44" s="49"/>
      <c r="H44" s="49"/>
      <c r="I44" s="4"/>
    </row>
    <row r="45" spans="1:11" ht="20.25" customHeight="1">
      <c r="A45" s="1">
        <f>A42+1</f>
        <v>11</v>
      </c>
      <c r="B45" s="12" t="s">
        <v>2</v>
      </c>
      <c r="C45" s="2" t="s">
        <v>47</v>
      </c>
      <c r="D45" s="27">
        <f>D43+D40</f>
        <v>1466.1425320655999</v>
      </c>
      <c r="E45" s="27">
        <f>E43+E40</f>
        <v>45.346165296000009</v>
      </c>
      <c r="F45" s="27">
        <f>F43+F40</f>
        <v>0</v>
      </c>
      <c r="G45" s="27">
        <f>G43+G40</f>
        <v>204.21781101551943</v>
      </c>
      <c r="H45" s="27">
        <f>H43+H40</f>
        <v>1715.7065083771192</v>
      </c>
    </row>
    <row r="46" spans="1:11" ht="30.75" customHeight="1">
      <c r="A46" s="1">
        <f>A45+1</f>
        <v>12</v>
      </c>
      <c r="B46" s="3" t="s">
        <v>56</v>
      </c>
      <c r="C46" s="2" t="s">
        <v>4</v>
      </c>
      <c r="D46" s="27">
        <f>D47-D45</f>
        <v>293.22850641311993</v>
      </c>
      <c r="E46" s="27">
        <f t="shared" ref="E46:H46" si="8">E47-E45</f>
        <v>9.0692330592000019</v>
      </c>
      <c r="F46" s="27">
        <f t="shared" si="8"/>
        <v>0</v>
      </c>
      <c r="G46" s="27">
        <f t="shared" si="8"/>
        <v>40.843562203103886</v>
      </c>
      <c r="H46" s="27">
        <f t="shared" si="8"/>
        <v>343.14130167542385</v>
      </c>
    </row>
    <row r="47" spans="1:11" ht="30" customHeight="1">
      <c r="A47" s="1">
        <f>A46+1</f>
        <v>13</v>
      </c>
      <c r="B47" s="3" t="s">
        <v>55</v>
      </c>
      <c r="C47" s="2" t="s">
        <v>48</v>
      </c>
      <c r="D47" s="27">
        <f>D45*1.2</f>
        <v>1759.3710384787198</v>
      </c>
      <c r="E47" s="27">
        <f t="shared" ref="E47:H47" si="9">E45*1.2</f>
        <v>54.415398355200011</v>
      </c>
      <c r="F47" s="27">
        <f t="shared" si="9"/>
        <v>0</v>
      </c>
      <c r="G47" s="27">
        <f t="shared" si="9"/>
        <v>245.06137321862332</v>
      </c>
      <c r="H47" s="27">
        <f t="shared" si="9"/>
        <v>2058.8478100525431</v>
      </c>
    </row>
    <row r="49" spans="2:5">
      <c r="B49" s="35" t="s">
        <v>49</v>
      </c>
      <c r="C49" s="36"/>
      <c r="D49" s="64"/>
      <c r="E49" s="64"/>
    </row>
  </sheetData>
  <mergeCells count="26">
    <mergeCell ref="J36:K36"/>
    <mergeCell ref="A44:H44"/>
    <mergeCell ref="D49:E49"/>
    <mergeCell ref="A17:H17"/>
    <mergeCell ref="A21:H21"/>
    <mergeCell ref="A25:H25"/>
    <mergeCell ref="A31:H31"/>
    <mergeCell ref="A36:H36"/>
    <mergeCell ref="A41:H41"/>
    <mergeCell ref="A14:H14"/>
    <mergeCell ref="A5:H5"/>
    <mergeCell ref="A6:H6"/>
    <mergeCell ref="A7:H7"/>
    <mergeCell ref="A8:H8"/>
    <mergeCell ref="A10:H10"/>
    <mergeCell ref="A11:A12"/>
    <mergeCell ref="B11:B12"/>
    <mergeCell ref="C11:C12"/>
    <mergeCell ref="D11:G11"/>
    <mergeCell ref="H11:H12"/>
    <mergeCell ref="A3:C3"/>
    <mergeCell ref="D3:F3"/>
    <mergeCell ref="G3:H3"/>
    <mergeCell ref="A4:C4"/>
    <mergeCell ref="D4:F4"/>
    <mergeCell ref="G4:H4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3:K47"/>
  <sheetViews>
    <sheetView tabSelected="1" view="pageBreakPreview" topLeftCell="A7" zoomScale="85" zoomScaleNormal="100" zoomScaleSheetLayoutView="85" workbookViewId="0">
      <selection activeCell="D18" sqref="D18:E19"/>
    </sheetView>
  </sheetViews>
  <sheetFormatPr defaultRowHeight="14.25"/>
  <cols>
    <col min="1" max="1" width="9.140625" style="35"/>
    <col min="2" max="2" width="21.7109375" style="35" customWidth="1"/>
    <col min="3" max="3" width="39.7109375" style="35" customWidth="1"/>
    <col min="4" max="8" width="12.5703125" style="41" customWidth="1"/>
    <col min="9" max="9" width="9.140625" style="35"/>
    <col min="10" max="10" width="20.28515625" style="35" customWidth="1"/>
    <col min="11" max="11" width="15.140625" style="35" customWidth="1"/>
    <col min="12" max="16384" width="9.140625" style="35"/>
  </cols>
  <sheetData>
    <row r="3" spans="1:8">
      <c r="A3" s="45" t="s">
        <v>5</v>
      </c>
      <c r="B3" s="45"/>
      <c r="C3" s="45"/>
      <c r="D3" s="65">
        <f>H45</f>
        <v>217.63392087647009</v>
      </c>
      <c r="E3" s="65"/>
      <c r="F3" s="65"/>
      <c r="G3" s="66" t="s">
        <v>6</v>
      </c>
      <c r="H3" s="66"/>
    </row>
    <row r="4" spans="1:8">
      <c r="A4" s="45" t="s">
        <v>7</v>
      </c>
      <c r="B4" s="45"/>
      <c r="C4" s="45"/>
      <c r="D4" s="65" t="s">
        <v>8</v>
      </c>
      <c r="E4" s="65"/>
      <c r="F4" s="65"/>
      <c r="G4" s="66" t="s">
        <v>6</v>
      </c>
      <c r="H4" s="66"/>
    </row>
    <row r="5" spans="1:8">
      <c r="A5" s="45"/>
      <c r="B5" s="50"/>
      <c r="C5" s="50"/>
      <c r="D5" s="50"/>
      <c r="E5" s="50"/>
      <c r="F5" s="50"/>
      <c r="G5" s="50"/>
      <c r="H5" s="50"/>
    </row>
    <row r="6" spans="1:8" ht="33.75" customHeight="1">
      <c r="A6" s="51" t="s">
        <v>59</v>
      </c>
      <c r="B6" s="50"/>
      <c r="C6" s="50"/>
      <c r="D6" s="50"/>
      <c r="E6" s="50"/>
      <c r="F6" s="50"/>
      <c r="G6" s="50"/>
      <c r="H6" s="50"/>
    </row>
    <row r="7" spans="1:8" ht="54" customHeight="1">
      <c r="A7" s="52" t="str">
        <f>'ССР Общ. тек'!A7:H7</f>
        <v>Реконструкция ВЛ-0,4 кВ от ТП-120 с заменой участка неизолированного провода на СИП и опор в д. Вехручей Прионежского района, длина участка реконструкции 1,215 км для нужд Карельского филиала ПАО "МРСК Северо-Запада"</v>
      </c>
      <c r="B7" s="53"/>
      <c r="C7" s="53"/>
      <c r="D7" s="53"/>
      <c r="E7" s="53"/>
      <c r="F7" s="53"/>
      <c r="G7" s="53"/>
      <c r="H7" s="53"/>
    </row>
    <row r="8" spans="1:8">
      <c r="A8" s="54" t="s">
        <v>9</v>
      </c>
      <c r="B8" s="55"/>
      <c r="C8" s="55"/>
      <c r="D8" s="55"/>
      <c r="E8" s="55"/>
      <c r="F8" s="55"/>
      <c r="G8" s="55"/>
      <c r="H8" s="55"/>
    </row>
    <row r="9" spans="1:8" ht="14.25" customHeight="1">
      <c r="A9" s="20"/>
      <c r="B9" s="21"/>
      <c r="C9" s="21"/>
      <c r="D9" s="24"/>
      <c r="E9" s="24"/>
      <c r="F9" s="24"/>
      <c r="G9" s="24"/>
      <c r="H9" s="24"/>
    </row>
    <row r="10" spans="1:8">
      <c r="A10" s="56" t="s">
        <v>58</v>
      </c>
      <c r="B10" s="57"/>
      <c r="C10" s="57"/>
      <c r="D10" s="57"/>
      <c r="E10" s="57"/>
      <c r="F10" s="57"/>
      <c r="G10" s="57"/>
      <c r="H10" s="57"/>
    </row>
    <row r="11" spans="1:8">
      <c r="A11" s="58" t="s">
        <v>10</v>
      </c>
      <c r="B11" s="59" t="s">
        <v>11</v>
      </c>
      <c r="C11" s="59" t="s">
        <v>12</v>
      </c>
      <c r="D11" s="67" t="s">
        <v>13</v>
      </c>
      <c r="E11" s="68"/>
      <c r="F11" s="68"/>
      <c r="G11" s="68"/>
      <c r="H11" s="69" t="s">
        <v>14</v>
      </c>
    </row>
    <row r="12" spans="1:8" ht="33.75">
      <c r="A12" s="49"/>
      <c r="B12" s="49"/>
      <c r="C12" s="49"/>
      <c r="D12" s="39" t="s">
        <v>15</v>
      </c>
      <c r="E12" s="39" t="s">
        <v>16</v>
      </c>
      <c r="F12" s="39" t="s">
        <v>17</v>
      </c>
      <c r="G12" s="39" t="s">
        <v>18</v>
      </c>
      <c r="H12" s="68"/>
    </row>
    <row r="13" spans="1:8" s="16" customFormat="1" ht="15" customHeight="1">
      <c r="A13" s="13">
        <v>1</v>
      </c>
      <c r="B13" s="14">
        <v>2</v>
      </c>
      <c r="C13" s="14">
        <v>3</v>
      </c>
      <c r="D13" s="25">
        <v>4</v>
      </c>
      <c r="E13" s="25">
        <v>5</v>
      </c>
      <c r="F13" s="25">
        <v>6</v>
      </c>
      <c r="G13" s="25">
        <v>7</v>
      </c>
      <c r="H13" s="26">
        <v>8</v>
      </c>
    </row>
    <row r="14" spans="1:8">
      <c r="A14" s="48" t="s">
        <v>19</v>
      </c>
      <c r="B14" s="49"/>
      <c r="C14" s="49"/>
      <c r="D14" s="49"/>
      <c r="E14" s="49"/>
      <c r="F14" s="49"/>
      <c r="G14" s="49"/>
      <c r="H14" s="49"/>
    </row>
    <row r="15" spans="1:8" ht="20.25" customHeight="1">
      <c r="A15" s="1" t="s">
        <v>1</v>
      </c>
      <c r="B15" s="3"/>
      <c r="C15" s="2"/>
      <c r="D15" s="28"/>
      <c r="E15" s="27"/>
      <c r="F15" s="27"/>
      <c r="G15" s="27"/>
      <c r="H15" s="27">
        <f>D15+E15+F15+G15</f>
        <v>0</v>
      </c>
    </row>
    <row r="16" spans="1:8" ht="20.25" customHeight="1">
      <c r="A16" s="1" t="s">
        <v>2</v>
      </c>
      <c r="B16" s="2" t="s">
        <v>2</v>
      </c>
      <c r="C16" s="2" t="s">
        <v>20</v>
      </c>
      <c r="D16" s="27">
        <f>D15</f>
        <v>0</v>
      </c>
      <c r="E16" s="27">
        <f t="shared" ref="E16:G16" si="0">E15</f>
        <v>0</v>
      </c>
      <c r="F16" s="27">
        <f t="shared" si="0"/>
        <v>0</v>
      </c>
      <c r="G16" s="27">
        <f t="shared" si="0"/>
        <v>0</v>
      </c>
      <c r="H16" s="27">
        <f t="shared" ref="H16" si="1">D16+E16+F16+G16</f>
        <v>0</v>
      </c>
    </row>
    <row r="17" spans="1:11" ht="20.25" customHeight="1">
      <c r="A17" s="48" t="s">
        <v>21</v>
      </c>
      <c r="B17" s="49"/>
      <c r="C17" s="49"/>
      <c r="D17" s="49"/>
      <c r="E17" s="49"/>
      <c r="F17" s="49"/>
      <c r="G17" s="49"/>
      <c r="H17" s="49"/>
    </row>
    <row r="18" spans="1:11" ht="20.25" customHeight="1">
      <c r="A18" s="1">
        <f>'ССР Общ. тек'!A18</f>
        <v>2</v>
      </c>
      <c r="B18" s="31" t="str">
        <f>'ССР Общ. тек'!B18</f>
        <v>ЛС 02-01-01</v>
      </c>
      <c r="C18" s="31" t="str">
        <f>'ССР Общ. тек'!C18</f>
        <v>Строительство ВЛ-0,4кВ</v>
      </c>
      <c r="D18" s="28">
        <f>178.96</f>
        <v>178.96</v>
      </c>
      <c r="E18" s="28">
        <f>1.84</f>
        <v>1.84</v>
      </c>
      <c r="F18" s="28"/>
      <c r="G18" s="28"/>
      <c r="H18" s="27">
        <f t="shared" ref="H18:H20" si="2">D18+E18+F18+G18</f>
        <v>180.8</v>
      </c>
      <c r="I18" s="4"/>
    </row>
    <row r="19" spans="1:11" ht="20.25" customHeight="1">
      <c r="A19" s="1" t="s">
        <v>2</v>
      </c>
      <c r="B19" s="2" t="s">
        <v>2</v>
      </c>
      <c r="C19" s="2" t="s">
        <v>22</v>
      </c>
      <c r="D19" s="28">
        <f>SUM(D18:D18)</f>
        <v>178.96</v>
      </c>
      <c r="E19" s="28">
        <f>SUM(E18:E18)</f>
        <v>1.84</v>
      </c>
      <c r="F19" s="28">
        <f>SUM(F18:F18)</f>
        <v>0</v>
      </c>
      <c r="G19" s="28">
        <f>SUM(G18:G18)</f>
        <v>0</v>
      </c>
      <c r="H19" s="27">
        <f t="shared" si="2"/>
        <v>180.8</v>
      </c>
    </row>
    <row r="20" spans="1:11" ht="20.25" customHeight="1">
      <c r="A20" s="1" t="s">
        <v>2</v>
      </c>
      <c r="B20" s="2" t="s">
        <v>2</v>
      </c>
      <c r="C20" s="2" t="s">
        <v>23</v>
      </c>
      <c r="D20" s="28">
        <f>D19+D16</f>
        <v>178.96</v>
      </c>
      <c r="E20" s="28">
        <f>E19+E16</f>
        <v>1.84</v>
      </c>
      <c r="F20" s="28">
        <f>F19+F16</f>
        <v>0</v>
      </c>
      <c r="G20" s="28">
        <f>G19+G16</f>
        <v>0</v>
      </c>
      <c r="H20" s="27">
        <f t="shared" si="2"/>
        <v>180.8</v>
      </c>
    </row>
    <row r="21" spans="1:11" ht="20.25" customHeight="1">
      <c r="A21" s="48" t="s">
        <v>24</v>
      </c>
      <c r="B21" s="49"/>
      <c r="C21" s="49"/>
      <c r="D21" s="49"/>
      <c r="E21" s="49"/>
      <c r="F21" s="49"/>
      <c r="G21" s="49"/>
      <c r="H21" s="49"/>
      <c r="J21" s="17"/>
      <c r="K21" s="17"/>
    </row>
    <row r="22" spans="1:11" ht="30" customHeight="1">
      <c r="A22" s="1">
        <f>'ССР Общ. тек'!A22</f>
        <v>3</v>
      </c>
      <c r="B22" s="3" t="s">
        <v>53</v>
      </c>
      <c r="C22" s="2" t="s">
        <v>25</v>
      </c>
      <c r="D22" s="27">
        <f>D20*0.02</f>
        <v>3.5792000000000002</v>
      </c>
      <c r="E22" s="27">
        <f>E20*0.02</f>
        <v>3.6799999999999999E-2</v>
      </c>
      <c r="F22" s="27"/>
      <c r="G22" s="27"/>
      <c r="H22" s="27">
        <f t="shared" ref="H22:H24" si="3">D22+E22+F22+G22</f>
        <v>3.6160000000000001</v>
      </c>
      <c r="J22" s="17"/>
      <c r="K22" s="17"/>
    </row>
    <row r="23" spans="1:11" ht="20.25" customHeight="1">
      <c r="A23" s="1" t="s">
        <v>2</v>
      </c>
      <c r="B23" s="2" t="s">
        <v>2</v>
      </c>
      <c r="C23" s="2" t="s">
        <v>26</v>
      </c>
      <c r="D23" s="27">
        <f>D22</f>
        <v>3.5792000000000002</v>
      </c>
      <c r="E23" s="27">
        <f>E22</f>
        <v>3.6799999999999999E-2</v>
      </c>
      <c r="F23" s="27">
        <f>F22</f>
        <v>0</v>
      </c>
      <c r="G23" s="27">
        <f>G22</f>
        <v>0</v>
      </c>
      <c r="H23" s="27">
        <f t="shared" si="3"/>
        <v>3.6160000000000001</v>
      </c>
    </row>
    <row r="24" spans="1:11" ht="20.25" customHeight="1">
      <c r="A24" s="1" t="s">
        <v>2</v>
      </c>
      <c r="B24" s="2" t="s">
        <v>2</v>
      </c>
      <c r="C24" s="2" t="s">
        <v>27</v>
      </c>
      <c r="D24" s="27">
        <f>D23+D20</f>
        <v>182.53919999999999</v>
      </c>
      <c r="E24" s="27">
        <f>E23+E20</f>
        <v>1.8768</v>
      </c>
      <c r="F24" s="27">
        <f>F23+F20</f>
        <v>0</v>
      </c>
      <c r="G24" s="27">
        <f>G23+G20</f>
        <v>0</v>
      </c>
      <c r="H24" s="27">
        <f t="shared" si="3"/>
        <v>184.416</v>
      </c>
      <c r="J24" s="5"/>
    </row>
    <row r="25" spans="1:11" ht="20.25" customHeight="1">
      <c r="A25" s="48" t="s">
        <v>28</v>
      </c>
      <c r="B25" s="49"/>
      <c r="C25" s="49"/>
      <c r="D25" s="49"/>
      <c r="E25" s="49"/>
      <c r="F25" s="49"/>
      <c r="G25" s="49"/>
      <c r="H25" s="49"/>
    </row>
    <row r="26" spans="1:11" ht="20.25" customHeight="1">
      <c r="A26" s="1">
        <f>'ССР Общ. тек'!A26</f>
        <v>4</v>
      </c>
      <c r="B26" s="31" t="str">
        <f>'ССР Общ. тек'!B26</f>
        <v xml:space="preserve">ГСН-81-05-02-2007 т.4. п.2.6 </v>
      </c>
      <c r="C26" s="31" t="str">
        <f>'ССР Общ. тек'!C26</f>
        <v>Производство работ в зимнее время 1,9%*1,2</v>
      </c>
      <c r="D26" s="27">
        <f>1.2*1.9%*D24</f>
        <v>4.161893759999999</v>
      </c>
      <c r="E26" s="27">
        <f>1.2*1.9%*E24</f>
        <v>4.2791039999999995E-2</v>
      </c>
      <c r="F26" s="40"/>
      <c r="G26" s="40"/>
      <c r="H26" s="29">
        <f>SUM(D26:G26)</f>
        <v>4.204684799999999</v>
      </c>
    </row>
    <row r="27" spans="1:11" ht="20.25" customHeight="1">
      <c r="A27" s="1">
        <f>'ССР Общ. тек'!A27</f>
        <v>5</v>
      </c>
      <c r="B27" s="31" t="str">
        <f>'ССР Общ. тек'!B27</f>
        <v>ЛС 09-01-01</v>
      </c>
      <c r="C27" s="31" t="str">
        <f>'ССР Общ. тек'!C27</f>
        <v>Пусконаладочные работы 0,4 кВ</v>
      </c>
      <c r="D27" s="27"/>
      <c r="E27" s="27"/>
      <c r="F27" s="27"/>
      <c r="G27" s="27">
        <f>1171/1000</f>
        <v>1.171</v>
      </c>
      <c r="H27" s="27">
        <f t="shared" ref="H27:H30" si="4">SUM(D27:G27)</f>
        <v>1.171</v>
      </c>
    </row>
    <row r="28" spans="1:11" ht="39" customHeight="1">
      <c r="A28" s="23" t="s">
        <v>0</v>
      </c>
      <c r="B28" s="3" t="s">
        <v>0</v>
      </c>
      <c r="C28" s="2" t="s">
        <v>29</v>
      </c>
      <c r="D28" s="27"/>
      <c r="E28" s="27"/>
      <c r="F28" s="27"/>
      <c r="G28" s="27">
        <f>(D24+E24)*0.0217</f>
        <v>4.0018272000000001</v>
      </c>
      <c r="H28" s="27">
        <f t="shared" si="4"/>
        <v>4.0018272000000001</v>
      </c>
      <c r="J28" s="17"/>
    </row>
    <row r="29" spans="1:11" ht="20.25" customHeight="1">
      <c r="A29" s="1"/>
      <c r="B29" s="2" t="s">
        <v>2</v>
      </c>
      <c r="C29" s="2" t="s">
        <v>30</v>
      </c>
      <c r="D29" s="27">
        <f>SUM(D26:D28)</f>
        <v>4.161893759999999</v>
      </c>
      <c r="E29" s="27">
        <f>SUM(E26:E28)</f>
        <v>4.2791039999999995E-2</v>
      </c>
      <c r="F29" s="27">
        <f>SUM(F26:F28)</f>
        <v>0</v>
      </c>
      <c r="G29" s="27">
        <f>SUM(G26:G28)</f>
        <v>5.1728272000000004</v>
      </c>
      <c r="H29" s="27">
        <f t="shared" si="4"/>
        <v>9.3775119999999994</v>
      </c>
    </row>
    <row r="30" spans="1:11" ht="20.25" customHeight="1">
      <c r="A30" s="1"/>
      <c r="B30" s="2" t="s">
        <v>2</v>
      </c>
      <c r="C30" s="2" t="s">
        <v>31</v>
      </c>
      <c r="D30" s="27">
        <f>D29+D24</f>
        <v>186.70109375999999</v>
      </c>
      <c r="E30" s="27">
        <f>E29+E24</f>
        <v>1.91959104</v>
      </c>
      <c r="F30" s="27">
        <f>F29+F24</f>
        <v>0</v>
      </c>
      <c r="G30" s="27">
        <f>G29+G24</f>
        <v>5.1728272000000004</v>
      </c>
      <c r="H30" s="27">
        <f t="shared" si="4"/>
        <v>193.79351199999999</v>
      </c>
    </row>
    <row r="31" spans="1:11" ht="20.25" customHeight="1">
      <c r="A31" s="48" t="s">
        <v>32</v>
      </c>
      <c r="B31" s="49"/>
      <c r="C31" s="49"/>
      <c r="D31" s="49"/>
      <c r="E31" s="49"/>
      <c r="F31" s="49"/>
      <c r="G31" s="49"/>
      <c r="H31" s="49"/>
      <c r="J31" s="18"/>
      <c r="K31" s="19"/>
    </row>
    <row r="32" spans="1:11" ht="34.5" customHeight="1">
      <c r="A32" s="1">
        <f>'ССР Общ. тек'!A32</f>
        <v>6</v>
      </c>
      <c r="B32" s="2" t="s">
        <v>33</v>
      </c>
      <c r="C32" s="2" t="s">
        <v>34</v>
      </c>
      <c r="D32" s="27"/>
      <c r="E32" s="27"/>
      <c r="F32" s="27"/>
      <c r="G32" s="27">
        <f>(H30+H39)*0.0542</f>
        <v>10.650175973171724</v>
      </c>
      <c r="H32" s="27">
        <f>SUM(D32:G32)</f>
        <v>10.650175973171724</v>
      </c>
      <c r="K32" s="5"/>
    </row>
    <row r="33" spans="1:10" ht="25.5" customHeight="1">
      <c r="A33" s="1">
        <f>'ССР Общ. тек'!A33</f>
        <v>7</v>
      </c>
      <c r="B33" s="2" t="s">
        <v>35</v>
      </c>
      <c r="C33" s="2" t="s">
        <v>36</v>
      </c>
      <c r="D33" s="27"/>
      <c r="E33" s="27"/>
      <c r="F33" s="27"/>
      <c r="G33" s="27">
        <f>H30*0.0214</f>
        <v>4.1471811567999994</v>
      </c>
      <c r="H33" s="27">
        <f>SUM(D33:G33)</f>
        <v>4.1471811567999994</v>
      </c>
    </row>
    <row r="34" spans="1:10" ht="20.25" customHeight="1">
      <c r="A34" s="1" t="s">
        <v>2</v>
      </c>
      <c r="B34" s="2" t="s">
        <v>2</v>
      </c>
      <c r="C34" s="2" t="s">
        <v>37</v>
      </c>
      <c r="D34" s="27">
        <f>SUM(D32:D33)</f>
        <v>0</v>
      </c>
      <c r="E34" s="27">
        <v>0</v>
      </c>
      <c r="F34" s="27">
        <v>0</v>
      </c>
      <c r="G34" s="27">
        <f>SUM(G32:G33)</f>
        <v>14.797357129971722</v>
      </c>
      <c r="H34" s="27">
        <f>SUM(H32:H33)</f>
        <v>14.797357129971722</v>
      </c>
      <c r="J34" s="6"/>
    </row>
    <row r="35" spans="1:10" ht="20.25" customHeight="1">
      <c r="A35" s="1" t="s">
        <v>2</v>
      </c>
      <c r="B35" s="2" t="s">
        <v>2</v>
      </c>
      <c r="C35" s="2" t="s">
        <v>38</v>
      </c>
      <c r="D35" s="27">
        <f>D34+D30</f>
        <v>186.70109375999999</v>
      </c>
      <c r="E35" s="27">
        <f>E34+E30</f>
        <v>1.91959104</v>
      </c>
      <c r="F35" s="27">
        <f>F34+F30</f>
        <v>0</v>
      </c>
      <c r="G35" s="27">
        <f>G34+G30</f>
        <v>19.970184329971723</v>
      </c>
      <c r="H35" s="27">
        <f>SUM(D35:G35)</f>
        <v>208.59086912997171</v>
      </c>
      <c r="J35" s="6"/>
    </row>
    <row r="36" spans="1:10" ht="20.25" customHeight="1">
      <c r="A36" s="48" t="s">
        <v>39</v>
      </c>
      <c r="B36" s="49"/>
      <c r="C36" s="49"/>
      <c r="D36" s="49"/>
      <c r="E36" s="49"/>
      <c r="F36" s="49"/>
      <c r="G36" s="49"/>
      <c r="H36" s="49"/>
      <c r="J36" s="6"/>
    </row>
    <row r="37" spans="1:10" ht="20.25" customHeight="1">
      <c r="A37" s="1">
        <f>'ССР Общ. тек'!A37</f>
        <v>8</v>
      </c>
      <c r="B37" s="3" t="str">
        <f>'ССР Общ. тек'!B37</f>
        <v xml:space="preserve"> 'ЛС 12-01-01</v>
      </c>
      <c r="C37" s="2" t="s">
        <v>3</v>
      </c>
      <c r="D37" s="27"/>
      <c r="E37" s="27"/>
      <c r="F37" s="27"/>
      <c r="G37" s="27">
        <f>'ССР Общ. тек'!G37/4.59/1.19</f>
        <v>2.3166126581351496</v>
      </c>
      <c r="H37" s="27">
        <f>SUM(D37:G37)</f>
        <v>2.3166126581351496</v>
      </c>
    </row>
    <row r="38" spans="1:10" ht="20.25" customHeight="1">
      <c r="A38" s="1">
        <f>'ССР Общ. тек'!A38</f>
        <v>9</v>
      </c>
      <c r="B38" s="2" t="s">
        <v>40</v>
      </c>
      <c r="C38" s="2" t="s">
        <v>41</v>
      </c>
      <c r="D38" s="27"/>
      <c r="E38" s="27"/>
      <c r="F38" s="27"/>
      <c r="G38" s="27">
        <f>H30*0.002</f>
        <v>0.387587024</v>
      </c>
      <c r="H38" s="27">
        <f>SUM(D38:G38)</f>
        <v>0.387587024</v>
      </c>
      <c r="J38" s="5"/>
    </row>
    <row r="39" spans="1:10" ht="20.25" customHeight="1">
      <c r="A39" s="1" t="s">
        <v>2</v>
      </c>
      <c r="B39" s="2" t="s">
        <v>2</v>
      </c>
      <c r="C39" s="2" t="s">
        <v>42</v>
      </c>
      <c r="D39" s="27">
        <f>SUM(D37:D38)</f>
        <v>0</v>
      </c>
      <c r="E39" s="27">
        <f t="shared" ref="E39:G39" si="5">SUM(E37:E38)</f>
        <v>0</v>
      </c>
      <c r="F39" s="27">
        <f t="shared" si="5"/>
        <v>0</v>
      </c>
      <c r="G39" s="27">
        <f t="shared" si="5"/>
        <v>2.7041996821351497</v>
      </c>
      <c r="H39" s="27">
        <f t="shared" ref="H39:H40" si="6">SUM(D39:G39)</f>
        <v>2.7041996821351497</v>
      </c>
    </row>
    <row r="40" spans="1:10" s="11" customFormat="1" ht="20.25" customHeight="1">
      <c r="A40" s="7" t="s">
        <v>2</v>
      </c>
      <c r="B40" s="8" t="s">
        <v>2</v>
      </c>
      <c r="C40" s="8" t="s">
        <v>43</v>
      </c>
      <c r="D40" s="30">
        <f>D39+D35</f>
        <v>186.70109375999999</v>
      </c>
      <c r="E40" s="30">
        <f t="shared" ref="E40:G40" si="7">E39+E35</f>
        <v>1.91959104</v>
      </c>
      <c r="F40" s="30">
        <f t="shared" si="7"/>
        <v>0</v>
      </c>
      <c r="G40" s="30">
        <f t="shared" si="7"/>
        <v>22.674384012106874</v>
      </c>
      <c r="H40" s="27">
        <f t="shared" si="6"/>
        <v>211.29506881210688</v>
      </c>
      <c r="I40" s="9"/>
      <c r="J40" s="10"/>
    </row>
    <row r="41" spans="1:10" ht="20.25" customHeight="1">
      <c r="A41" s="48" t="s">
        <v>44</v>
      </c>
      <c r="B41" s="49"/>
      <c r="C41" s="49"/>
      <c r="D41" s="49"/>
      <c r="E41" s="49"/>
      <c r="F41" s="49"/>
      <c r="G41" s="49"/>
      <c r="H41" s="49"/>
      <c r="J41" s="4"/>
    </row>
    <row r="42" spans="1:10" ht="24" customHeight="1">
      <c r="A42" s="1">
        <f>'ССР Общ. тек'!A42</f>
        <v>10</v>
      </c>
      <c r="B42" s="3" t="s">
        <v>54</v>
      </c>
      <c r="C42" s="2" t="s">
        <v>45</v>
      </c>
      <c r="D42" s="27">
        <f>D40*0.03</f>
        <v>5.6010328127999998</v>
      </c>
      <c r="E42" s="27">
        <f>E40*0.03</f>
        <v>5.7587731199999999E-2</v>
      </c>
      <c r="F42" s="27">
        <f>F40*0.03</f>
        <v>0</v>
      </c>
      <c r="G42" s="27">
        <f>G40*0.03</f>
        <v>0.68023152036320622</v>
      </c>
      <c r="H42" s="27">
        <f>H40*0.03</f>
        <v>6.3388520643632065</v>
      </c>
      <c r="J42" s="10"/>
    </row>
    <row r="43" spans="1:10" ht="20.25" customHeight="1">
      <c r="A43" s="1" t="s">
        <v>2</v>
      </c>
      <c r="B43" s="2" t="s">
        <v>2</v>
      </c>
      <c r="C43" s="2" t="s">
        <v>46</v>
      </c>
      <c r="D43" s="27">
        <f>D42</f>
        <v>5.6010328127999998</v>
      </c>
      <c r="E43" s="27">
        <f>E42</f>
        <v>5.7587731199999999E-2</v>
      </c>
      <c r="F43" s="27">
        <f>F42</f>
        <v>0</v>
      </c>
      <c r="G43" s="27">
        <f>G42</f>
        <v>0.68023152036320622</v>
      </c>
      <c r="H43" s="27">
        <f>H42</f>
        <v>6.3388520643632065</v>
      </c>
      <c r="J43" s="4"/>
    </row>
    <row r="44" spans="1:10" ht="20.25" customHeight="1">
      <c r="A44" s="63" t="s">
        <v>2</v>
      </c>
      <c r="B44" s="49"/>
      <c r="C44" s="49"/>
      <c r="D44" s="49"/>
      <c r="E44" s="49"/>
      <c r="F44" s="49"/>
      <c r="G44" s="49"/>
      <c r="H44" s="49"/>
      <c r="I44" s="4"/>
      <c r="J44" s="4"/>
    </row>
    <row r="45" spans="1:10" ht="20.25" customHeight="1">
      <c r="A45" s="1">
        <f>'ССР Общ. тек'!A45</f>
        <v>11</v>
      </c>
      <c r="B45" s="12" t="s">
        <v>2</v>
      </c>
      <c r="C45" s="2" t="s">
        <v>47</v>
      </c>
      <c r="D45" s="27">
        <f>D43+D40</f>
        <v>192.30212657279998</v>
      </c>
      <c r="E45" s="27">
        <f>E43+E40</f>
        <v>1.9771787712</v>
      </c>
      <c r="F45" s="27">
        <f>F43+F40</f>
        <v>0</v>
      </c>
      <c r="G45" s="27">
        <f>G43+G40</f>
        <v>23.354615532470081</v>
      </c>
      <c r="H45" s="27">
        <f>H43+H40</f>
        <v>217.63392087647009</v>
      </c>
    </row>
    <row r="47" spans="1:10">
      <c r="B47" s="35" t="s">
        <v>49</v>
      </c>
      <c r="C47" s="36"/>
      <c r="D47" s="70"/>
      <c r="E47" s="70"/>
    </row>
  </sheetData>
  <mergeCells count="25">
    <mergeCell ref="A41:H41"/>
    <mergeCell ref="A44:H44"/>
    <mergeCell ref="D47:E47"/>
    <mergeCell ref="A14:H14"/>
    <mergeCell ref="A17:H17"/>
    <mergeCell ref="A21:H21"/>
    <mergeCell ref="A25:H25"/>
    <mergeCell ref="A31:H31"/>
    <mergeCell ref="A36:H36"/>
    <mergeCell ref="A5:H5"/>
    <mergeCell ref="A6:H6"/>
    <mergeCell ref="A7:H7"/>
    <mergeCell ref="A8:H8"/>
    <mergeCell ref="A10:H10"/>
    <mergeCell ref="A11:A12"/>
    <mergeCell ref="B11:B12"/>
    <mergeCell ref="C11:C12"/>
    <mergeCell ref="D11:G11"/>
    <mergeCell ref="H11:H12"/>
    <mergeCell ref="A3:C3"/>
    <mergeCell ref="D3:F3"/>
    <mergeCell ref="G3:H3"/>
    <mergeCell ref="A4:C4"/>
    <mergeCell ref="D4:F4"/>
    <mergeCell ref="G4:H4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23" sqref="N23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ССР Общ. тек</vt:lpstr>
      <vt:lpstr>ССР Общ. 2000</vt:lpstr>
      <vt:lpstr>Лист4</vt:lpstr>
      <vt:lpstr>'ССР Общ. тек'!OLE_LINK1</vt:lpstr>
      <vt:lpstr>'ССР Общ. 2000'!Область_печати</vt:lpstr>
      <vt:lpstr>'ССР Общ. тек'!Область_печати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proect6</dc:creator>
  <cp:lastModifiedBy>Пользователь Windows</cp:lastModifiedBy>
  <cp:lastPrinted>2008-03-13T16:07:31Z</cp:lastPrinted>
  <dcterms:created xsi:type="dcterms:W3CDTF">2002-02-11T05:58:42Z</dcterms:created>
  <dcterms:modified xsi:type="dcterms:W3CDTF">2021-08-08T08:57:37Z</dcterms:modified>
</cp:coreProperties>
</file>